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570" windowWidth="9150" windowHeight="4575" tabRatio="500" activeTab="0"/>
  </bookViews>
  <sheets>
    <sheet name="GEN FUND" sheetId="1" r:id="rId1"/>
    <sheet name="Cl Codes" sheetId="2" r:id="rId2"/>
    <sheet name="FTES &amp; FTEF" sheetId="3" r:id="rId3"/>
    <sheet name="Base Legend" sheetId="4" r:id="rId4"/>
  </sheets>
  <definedNames>
    <definedName name="_xlnm.Print_Area" localSheetId="1">'Cl Codes'!$A$1:$B$34</definedName>
    <definedName name="_xlnm.Print_Area" localSheetId="0">'GEN FUND'!$A$1:$K$58</definedName>
  </definedNames>
  <calcPr fullCalcOnLoad="1"/>
</workbook>
</file>

<file path=xl/sharedStrings.xml><?xml version="1.0" encoding="utf-8"?>
<sst xmlns="http://schemas.openxmlformats.org/spreadsheetml/2006/main" count="190" uniqueCount="101">
  <si>
    <t>COLLEGE OF LIBERAL ARTS</t>
  </si>
  <si>
    <t>DEPARTMENTS</t>
  </si>
  <si>
    <t>TOTAL</t>
  </si>
  <si>
    <t>AIS</t>
  </si>
  <si>
    <t>ANTH</t>
  </si>
  <si>
    <t>CHLS</t>
  </si>
  <si>
    <t>COMM</t>
  </si>
  <si>
    <t>ECON</t>
  </si>
  <si>
    <t>HDEV</t>
  </si>
  <si>
    <t>Asian/Asian Amer St.</t>
  </si>
  <si>
    <t>American Indian St.</t>
  </si>
  <si>
    <t>Anthropology</t>
  </si>
  <si>
    <t>Black St.</t>
  </si>
  <si>
    <t>Comparative Literature</t>
  </si>
  <si>
    <t>Economics</t>
  </si>
  <si>
    <t>English</t>
  </si>
  <si>
    <t>Geography</t>
  </si>
  <si>
    <t>Human Development</t>
  </si>
  <si>
    <t>History</t>
  </si>
  <si>
    <t>International Studies</t>
  </si>
  <si>
    <t>Journalism</t>
  </si>
  <si>
    <t>Linguistics</t>
  </si>
  <si>
    <t>Philosophy</t>
  </si>
  <si>
    <t>Political Science</t>
  </si>
  <si>
    <t>Psychology</t>
  </si>
  <si>
    <t>RGRLL</t>
  </si>
  <si>
    <t>Sociology</t>
  </si>
  <si>
    <t>Chicano and Latino St.</t>
  </si>
  <si>
    <t>Communication St.</t>
  </si>
  <si>
    <t>Women's St.</t>
  </si>
  <si>
    <t>Dean's Office</t>
  </si>
  <si>
    <t>CLASS</t>
  </si>
  <si>
    <t>CODE</t>
  </si>
  <si>
    <t>I/ST</t>
  </si>
  <si>
    <t>JOUR</t>
  </si>
  <si>
    <t>LING</t>
  </si>
  <si>
    <t>PHIL</t>
  </si>
  <si>
    <t>POSC</t>
  </si>
  <si>
    <t>PSY</t>
  </si>
  <si>
    <t>R/ST</t>
  </si>
  <si>
    <t>SOC</t>
  </si>
  <si>
    <t>W/ST</t>
  </si>
  <si>
    <t>Religious St.</t>
  </si>
  <si>
    <t>C/LT &amp; CLSC &amp; LAT &amp; GK</t>
  </si>
  <si>
    <t>COLA</t>
  </si>
  <si>
    <t>GEOG &amp;U/ST</t>
  </si>
  <si>
    <t xml:space="preserve">GENERAL FUND </t>
  </si>
  <si>
    <t>FTES</t>
  </si>
  <si>
    <t>FTEF</t>
  </si>
  <si>
    <t>Latin American St.</t>
  </si>
  <si>
    <t>Jewish St.</t>
  </si>
  <si>
    <t>European St.</t>
  </si>
  <si>
    <t>So. East Asian St.</t>
  </si>
  <si>
    <t>GUIDE FOR CLASS CODES</t>
  </si>
  <si>
    <t>D:\MY DOCUMENTS\BUDGET\OE ALLOC 02.xls  Cl Codes</t>
  </si>
  <si>
    <t>American Studies</t>
  </si>
  <si>
    <t>Medieval and Renaissance St.</t>
  </si>
  <si>
    <t>Middle Eastern Studies</t>
  </si>
  <si>
    <t>DEPT ID</t>
  </si>
  <si>
    <t>ENGL &amp; ALP &amp; AM/ST</t>
  </si>
  <si>
    <t>Environmental Science &amp; Policy</t>
  </si>
  <si>
    <t>Base</t>
  </si>
  <si>
    <t>0-200</t>
  </si>
  <si>
    <t>201-400</t>
  </si>
  <si>
    <t>401-600</t>
  </si>
  <si>
    <t>601-800</t>
  </si>
  <si>
    <t>801-1000</t>
  </si>
  <si>
    <t>1001-1200</t>
  </si>
  <si>
    <t>1200-1400</t>
  </si>
  <si>
    <t>FTES AND FTEF CALCULATIONS</t>
  </si>
  <si>
    <t>FALL 07</t>
  </si>
  <si>
    <t>SPRING</t>
  </si>
  <si>
    <t>08 FTES</t>
  </si>
  <si>
    <t>AVE</t>
  </si>
  <si>
    <t>08 FTEF</t>
  </si>
  <si>
    <t>07-08</t>
  </si>
  <si>
    <t>07/08</t>
  </si>
  <si>
    <t>ARAB &amp; FREN &amp; GERM &amp; HEBW &amp; ITAL &amp; PORT &amp; RUSS &amp; SPAN</t>
  </si>
  <si>
    <t>A/ST &amp; ASAM &amp; CHIN &amp; JAPN &amp; KHMR &amp; KOR &amp; VIET</t>
  </si>
  <si>
    <t>Africana Studies</t>
  </si>
  <si>
    <t>Peace Studies</t>
  </si>
  <si>
    <t>LAB</t>
  </si>
  <si>
    <t>08 LAB</t>
  </si>
  <si>
    <t>FISCAL YEAR 2009-10</t>
  </si>
  <si>
    <t>AFR</t>
  </si>
  <si>
    <t>Africana St.</t>
  </si>
  <si>
    <t>HIST &amp; AMST</t>
  </si>
  <si>
    <t>12/13</t>
  </si>
  <si>
    <t>Global Studies Institute</t>
  </si>
  <si>
    <t>13/14</t>
  </si>
  <si>
    <t>FUND</t>
  </si>
  <si>
    <t>GENERAL</t>
  </si>
  <si>
    <t>SERVICES</t>
  </si>
  <si>
    <t>CHAIRS</t>
  </si>
  <si>
    <t>ACADEMIC</t>
  </si>
  <si>
    <t>CERF</t>
  </si>
  <si>
    <t>ALL FUNDS</t>
  </si>
  <si>
    <t>OE&amp;E</t>
  </si>
  <si>
    <t>Approved by Budget Committee 10/2/13</t>
  </si>
  <si>
    <t>DEPARTMENT OPERATING EXPENSE &amp; EQUIPMENT (OE&amp;E)</t>
  </si>
  <si>
    <t>FISCAL YEAR 2012-13 and 2013-14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</si>
</sst>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_);\(#,##0.0\)"/>
    <numFmt numFmtId="166" formatCode="0.000"/>
    <numFmt numFmtId="167" formatCode="#,##0.000_);[Red]\(#,##0.000\)"/>
    <numFmt numFmtId="168" formatCode="0.00_);[Red]\(0.00\)"/>
    <numFmt numFmtId="169" formatCode="#,##0.0000_);[Red]\(#,##0.0000\)"/>
    <numFmt numFmtId="170" formatCode="&quot;$&quot;#,##0"/>
    <numFmt numFmtId="171" formatCode="mm/dd/yy"/>
    <numFmt numFmtId="172" formatCode="&quot;$&quot;#,##0.00"/>
    <numFmt numFmtId="173" formatCode="0.0%"/>
    <numFmt numFmtId="174" formatCode="0.000%"/>
    <numFmt numFmtId="175" formatCode="0.0000%"/>
    <numFmt numFmtId="176" formatCode="0.00000%"/>
    <numFmt numFmtId="177" formatCode="#,##0.000"/>
    <numFmt numFmtId="178" formatCode="&quot;$&quot;#,##0.0000"/>
    <numFmt numFmtId="179" formatCode="#,##0.0"/>
    <numFmt numFmtId="180" formatCode="&quot;$&quot;#,##0.00000"/>
    <numFmt numFmtId="181" formatCode="_(* #,##0.0_);_(* \(#,##0.0\);_(* &quot;-&quot;??_);_(@_)"/>
    <numFmt numFmtId="182" formatCode="_(* #,##0_);_(* \(#,##0\);_(* &quot;-&quot;??_);_(@_)"/>
    <numFmt numFmtId="183" formatCode="#,##0.00;[Red]#,##0.00"/>
    <numFmt numFmtId="184" formatCode="#,##0;[Red]#,##0"/>
    <numFmt numFmtId="185" formatCode="#,##0.000_);\(#,##0.000\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39" fontId="0" fillId="0" borderId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164" fontId="0" fillId="0" borderId="12" xfId="0" applyNumberFormat="1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7" fontId="0" fillId="0" borderId="18" xfId="42" applyNumberFormat="1" applyFont="1" applyBorder="1" applyAlignment="1">
      <alignment/>
    </xf>
    <xf numFmtId="37" fontId="0" fillId="0" borderId="17" xfId="0" applyNumberFormat="1" applyFont="1" applyBorder="1" applyAlignment="1">
      <alignment horizontal="centerContinuous"/>
    </xf>
    <xf numFmtId="37" fontId="0" fillId="0" borderId="15" xfId="0" applyNumberFormat="1" applyFont="1" applyBorder="1" applyAlignment="1">
      <alignment horizontal="center"/>
    </xf>
    <xf numFmtId="49" fontId="0" fillId="0" borderId="16" xfId="42" applyNumberFormat="1" applyFont="1" applyBorder="1" applyAlignment="1">
      <alignment/>
    </xf>
    <xf numFmtId="37" fontId="0" fillId="0" borderId="16" xfId="0" applyNumberFormat="1" applyFont="1" applyBorder="1" applyAlignment="1">
      <alignment horizontal="center"/>
    </xf>
    <xf numFmtId="37" fontId="0" fillId="0" borderId="17" xfId="0" applyNumberFormat="1" applyFont="1" applyBorder="1" applyAlignment="1">
      <alignment horizontal="center"/>
    </xf>
    <xf numFmtId="38" fontId="0" fillId="0" borderId="16" xfId="42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0" borderId="18" xfId="42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/>
    </xf>
    <xf numFmtId="40" fontId="0" fillId="0" borderId="16" xfId="0" applyNumberFormat="1" applyBorder="1" applyAlignment="1">
      <alignment/>
    </xf>
    <xf numFmtId="40" fontId="0" fillId="0" borderId="18" xfId="42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0" fontId="0" fillId="0" borderId="16" xfId="42" applyNumberFormat="1" applyFont="1" applyBorder="1" applyAlignment="1">
      <alignment horizontal="right"/>
    </xf>
    <xf numFmtId="0" fontId="0" fillId="0" borderId="19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0" fillId="0" borderId="21" xfId="42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12" xfId="0" applyBorder="1" applyAlignment="1">
      <alignment horizontal="centerContinuous"/>
    </xf>
    <xf numFmtId="37" fontId="0" fillId="0" borderId="17" xfId="0" applyNumberFormat="1" applyBorder="1" applyAlignment="1">
      <alignment horizontal="centerContinuous"/>
    </xf>
    <xf numFmtId="37" fontId="0" fillId="0" borderId="1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7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7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37" fontId="0" fillId="0" borderId="16" xfId="0" applyNumberFormat="1" applyBorder="1" applyAlignment="1" quotePrefix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16" xfId="42" applyNumberFormat="1" applyFont="1" applyBorder="1" applyAlignment="1">
      <alignment/>
    </xf>
    <xf numFmtId="39" fontId="0" fillId="0" borderId="16" xfId="0" applyNumberFormat="1" applyFont="1" applyBorder="1" applyAlignment="1">
      <alignment horizontal="right"/>
    </xf>
    <xf numFmtId="40" fontId="0" fillId="0" borderId="16" xfId="0" applyNumberFormat="1" applyFont="1" applyBorder="1" applyAlignment="1">
      <alignment horizontal="right"/>
    </xf>
    <xf numFmtId="39" fontId="0" fillId="0" borderId="18" xfId="42" applyNumberFormat="1" applyFont="1" applyBorder="1" applyAlignment="1">
      <alignment horizontal="right"/>
    </xf>
    <xf numFmtId="39" fontId="0" fillId="0" borderId="16" xfId="42" applyNumberFormat="1" applyFont="1" applyBorder="1" applyAlignment="1">
      <alignment horizontal="right"/>
    </xf>
    <xf numFmtId="39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 quotePrefix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6" xfId="42" applyNumberFormat="1" applyFont="1" applyBorder="1" applyAlignment="1">
      <alignment horizontal="right"/>
    </xf>
    <xf numFmtId="40" fontId="0" fillId="0" borderId="18" xfId="42" applyNumberFormat="1" applyFont="1" applyBorder="1" applyAlignment="1">
      <alignment horizontal="right"/>
    </xf>
    <xf numFmtId="37" fontId="0" fillId="0" borderId="16" xfId="0" applyNumberFormat="1" applyFont="1" applyBorder="1" applyAlignment="1" quotePrefix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7" borderId="0" xfId="0" applyFill="1" applyAlignment="1">
      <alignment/>
    </xf>
    <xf numFmtId="37" fontId="0" fillId="0" borderId="16" xfId="0" applyNumberFormat="1" applyFont="1" applyFill="1" applyBorder="1" applyAlignment="1">
      <alignment horizontal="center"/>
    </xf>
    <xf numFmtId="37" fontId="0" fillId="0" borderId="15" xfId="0" applyNumberFormat="1" applyFont="1" applyFill="1" applyBorder="1" applyAlignment="1">
      <alignment horizontal="center"/>
    </xf>
    <xf numFmtId="37" fontId="0" fillId="0" borderId="17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6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9" fontId="0" fillId="0" borderId="15" xfId="0" applyNumberFormat="1" applyFont="1" applyBorder="1" applyAlignment="1">
      <alignment horizontal="center"/>
    </xf>
    <xf numFmtId="39" fontId="0" fillId="0" borderId="8" xfId="0" applyNumberFormat="1" applyFont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42" applyNumberFormat="1" applyFont="1" applyBorder="1" applyAlignment="1">
      <alignment horizontal="right"/>
    </xf>
    <xf numFmtId="40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37" fontId="0" fillId="0" borderId="16" xfId="0" applyNumberFormat="1" applyFont="1" applyFill="1" applyBorder="1" applyAlignment="1" quotePrefix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37" fontId="0" fillId="0" borderId="17" xfId="0" applyNumberFormat="1" applyFont="1" applyBorder="1" applyAlignment="1" quotePrefix="1">
      <alignment horizontal="centerContinuous"/>
    </xf>
    <xf numFmtId="38" fontId="0" fillId="0" borderId="16" xfId="0" applyNumberFormat="1" applyFill="1" applyBorder="1" applyAlignment="1">
      <alignment/>
    </xf>
    <xf numFmtId="38" fontId="0" fillId="0" borderId="16" xfId="0" applyNumberFormat="1" applyBorder="1" applyAlignment="1">
      <alignment/>
    </xf>
    <xf numFmtId="38" fontId="0" fillId="0" borderId="18" xfId="42" applyNumberFormat="1" applyFont="1" applyBorder="1" applyAlignment="1">
      <alignment/>
    </xf>
    <xf numFmtId="37" fontId="0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1" xfId="42" applyNumberFormat="1" applyFont="1" applyBorder="1" applyAlignment="1">
      <alignment horizontal="right"/>
    </xf>
    <xf numFmtId="49" fontId="0" fillId="0" borderId="16" xfId="0" applyNumberFormat="1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39" fontId="0" fillId="0" borderId="15" xfId="0" applyNumberFormat="1" applyFont="1" applyBorder="1" applyAlignment="1" quotePrefix="1">
      <alignment horizontal="center"/>
    </xf>
    <xf numFmtId="37" fontId="0" fillId="0" borderId="15" xfId="0" applyNumberFormat="1" applyFont="1" applyFill="1" applyBorder="1" applyAlignment="1" quotePrefix="1">
      <alignment horizontal="center"/>
    </xf>
    <xf numFmtId="3" fontId="0" fillId="33" borderId="16" xfId="0" applyNumberFormat="1" applyFill="1" applyBorder="1" applyAlignment="1">
      <alignment/>
    </xf>
    <xf numFmtId="3" fontId="0" fillId="33" borderId="18" xfId="42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5" sqref="A5:K5"/>
    </sheetView>
  </sheetViews>
  <sheetFormatPr defaultColWidth="9.140625" defaultRowHeight="12.75"/>
  <cols>
    <col min="1" max="1" width="29.28125" style="0" customWidth="1"/>
    <col min="2" max="2" width="8.28125" style="0" customWidth="1"/>
    <col min="3" max="11" width="10.7109375" style="0" customWidth="1"/>
  </cols>
  <sheetData>
    <row r="1" spans="1:11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2.75">
      <c r="A2" s="117" t="s">
        <v>96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17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1" ht="12.75">
      <c r="A4" s="122" t="s">
        <v>100</v>
      </c>
      <c r="B4" s="123"/>
      <c r="C4" s="123"/>
      <c r="D4" s="123"/>
      <c r="E4" s="123"/>
      <c r="F4" s="123"/>
      <c r="G4" s="123"/>
      <c r="H4" s="123"/>
      <c r="I4" s="123"/>
      <c r="J4" s="123"/>
      <c r="K4" s="124"/>
    </row>
    <row r="5" spans="1:11" ht="12.75">
      <c r="A5" s="125" t="s">
        <v>98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</row>
    <row r="6" spans="1:11" ht="12.75">
      <c r="A6" s="41"/>
      <c r="B6" s="42"/>
      <c r="C6" s="42"/>
      <c r="D6" s="42"/>
      <c r="E6" s="42"/>
      <c r="F6" s="42"/>
      <c r="G6" s="42"/>
      <c r="H6" s="10"/>
      <c r="I6" s="10"/>
      <c r="J6" s="10"/>
      <c r="K6" s="76"/>
    </row>
    <row r="7" spans="1:11" ht="12.75">
      <c r="A7" s="41"/>
      <c r="B7" s="42"/>
      <c r="C7" s="42"/>
      <c r="D7" s="42"/>
      <c r="E7" s="42"/>
      <c r="F7" s="42"/>
      <c r="G7" s="42"/>
      <c r="H7" s="10"/>
      <c r="I7" s="10"/>
      <c r="J7" s="10"/>
      <c r="K7" s="76"/>
    </row>
    <row r="8" spans="1:11" ht="12.75">
      <c r="A8" s="41"/>
      <c r="B8" s="42"/>
      <c r="C8" s="42"/>
      <c r="D8" s="42"/>
      <c r="E8" s="42"/>
      <c r="F8" s="42"/>
      <c r="G8" s="42"/>
      <c r="H8" s="10"/>
      <c r="I8" s="10"/>
      <c r="J8" s="10"/>
      <c r="K8" s="77"/>
    </row>
    <row r="9" spans="1:11" ht="13.5" thickBot="1">
      <c r="A9" s="66"/>
      <c r="B9" s="67"/>
      <c r="C9" s="67"/>
      <c r="D9" s="67"/>
      <c r="E9" s="67"/>
      <c r="F9" s="67"/>
      <c r="G9" s="67"/>
      <c r="H9" s="78"/>
      <c r="I9" s="78"/>
      <c r="J9" s="78"/>
      <c r="K9" s="79"/>
    </row>
    <row r="10" spans="1:11" ht="12.75">
      <c r="A10" s="32"/>
      <c r="B10" s="32"/>
      <c r="C10" s="32"/>
      <c r="D10" s="110" t="s">
        <v>87</v>
      </c>
      <c r="E10" s="88"/>
      <c r="F10" s="87"/>
      <c r="G10" s="18"/>
      <c r="H10" s="74"/>
      <c r="I10" s="111" t="s">
        <v>89</v>
      </c>
      <c r="J10" s="74"/>
      <c r="K10" s="18"/>
    </row>
    <row r="11" spans="1:11" ht="12.75">
      <c r="A11" s="31"/>
      <c r="B11" s="31"/>
      <c r="C11" s="31"/>
      <c r="D11" s="20" t="s">
        <v>94</v>
      </c>
      <c r="E11" s="36"/>
      <c r="F11" s="20"/>
      <c r="G11" s="20"/>
      <c r="H11" s="73"/>
      <c r="I11" s="73" t="s">
        <v>94</v>
      </c>
      <c r="J11" s="73"/>
      <c r="K11" s="20"/>
    </row>
    <row r="12" spans="1:11" ht="12.75">
      <c r="A12" s="31"/>
      <c r="B12" s="31"/>
      <c r="C12" s="109" t="s">
        <v>87</v>
      </c>
      <c r="D12" s="20" t="s">
        <v>93</v>
      </c>
      <c r="E12" s="36"/>
      <c r="F12" s="20" t="s">
        <v>97</v>
      </c>
      <c r="G12" s="20"/>
      <c r="H12" s="94" t="s">
        <v>89</v>
      </c>
      <c r="I12" s="73" t="s">
        <v>93</v>
      </c>
      <c r="J12" s="94"/>
      <c r="K12" s="65" t="s">
        <v>97</v>
      </c>
    </row>
    <row r="13" spans="1:11" ht="12.75">
      <c r="A13" s="31"/>
      <c r="B13" s="31"/>
      <c r="C13" s="93" t="s">
        <v>91</v>
      </c>
      <c r="D13" s="20" t="s">
        <v>92</v>
      </c>
      <c r="E13" s="37" t="s">
        <v>87</v>
      </c>
      <c r="F13" s="108" t="s">
        <v>87</v>
      </c>
      <c r="G13" s="20"/>
      <c r="H13" s="73" t="s">
        <v>91</v>
      </c>
      <c r="I13" s="73" t="s">
        <v>92</v>
      </c>
      <c r="J13" s="94" t="s">
        <v>89</v>
      </c>
      <c r="K13" s="65" t="s">
        <v>89</v>
      </c>
    </row>
    <row r="14" spans="1:11" ht="13.5" thickBot="1">
      <c r="A14" s="33" t="s">
        <v>1</v>
      </c>
      <c r="B14" s="33" t="s">
        <v>58</v>
      </c>
      <c r="C14" s="99" t="s">
        <v>90</v>
      </c>
      <c r="D14" s="100" t="s">
        <v>90</v>
      </c>
      <c r="E14" s="104" t="s">
        <v>95</v>
      </c>
      <c r="F14" s="21" t="s">
        <v>2</v>
      </c>
      <c r="G14" s="21"/>
      <c r="H14" s="75" t="s">
        <v>90</v>
      </c>
      <c r="I14" s="75" t="s">
        <v>90</v>
      </c>
      <c r="J14" s="75" t="s">
        <v>95</v>
      </c>
      <c r="K14" s="85" t="s">
        <v>2</v>
      </c>
    </row>
    <row r="15" spans="1:11" ht="12.75">
      <c r="A15" s="80" t="s">
        <v>9</v>
      </c>
      <c r="B15" s="80">
        <v>392</v>
      </c>
      <c r="C15" s="95">
        <v>3603</v>
      </c>
      <c r="D15" s="101">
        <f>1521</f>
        <v>1521</v>
      </c>
      <c r="E15" s="105">
        <f>2875</f>
        <v>2875</v>
      </c>
      <c r="F15" s="89">
        <f aca="true" t="shared" si="0" ref="F15:F46">SUM(C15:E15)</f>
        <v>7999</v>
      </c>
      <c r="G15" s="81"/>
      <c r="H15" s="89">
        <v>0</v>
      </c>
      <c r="I15" s="89">
        <f>1427</f>
        <v>1427</v>
      </c>
      <c r="J15" s="112">
        <v>7761</v>
      </c>
      <c r="K15" s="89">
        <f>SUM(H15:J15)</f>
        <v>9188</v>
      </c>
    </row>
    <row r="16" spans="1:11" ht="12.75">
      <c r="A16" s="80" t="s">
        <v>10</v>
      </c>
      <c r="B16" s="80">
        <v>387</v>
      </c>
      <c r="C16" s="95">
        <v>895</v>
      </c>
      <c r="D16" s="101">
        <f>750</f>
        <v>750</v>
      </c>
      <c r="E16" s="105">
        <v>1621</v>
      </c>
      <c r="F16" s="89">
        <f t="shared" si="0"/>
        <v>3266</v>
      </c>
      <c r="G16" s="82"/>
      <c r="H16" s="89">
        <v>0</v>
      </c>
      <c r="I16" s="89">
        <f>750</f>
        <v>750</v>
      </c>
      <c r="J16" s="112">
        <v>1417</v>
      </c>
      <c r="K16" s="89">
        <f aca="true" t="shared" si="1" ref="K16:K37">SUM(H16:J16)</f>
        <v>2167</v>
      </c>
    </row>
    <row r="17" spans="1:11" ht="12.75">
      <c r="A17" s="80" t="s">
        <v>11</v>
      </c>
      <c r="B17" s="80">
        <v>377</v>
      </c>
      <c r="C17" s="95">
        <v>5536</v>
      </c>
      <c r="D17" s="101">
        <f>1845</f>
        <v>1845</v>
      </c>
      <c r="E17" s="105">
        <v>10125</v>
      </c>
      <c r="F17" s="89">
        <f t="shared" si="0"/>
        <v>17506</v>
      </c>
      <c r="G17" s="82"/>
      <c r="H17" s="89">
        <v>0</v>
      </c>
      <c r="I17" s="89">
        <f>1749</f>
        <v>1749</v>
      </c>
      <c r="J17" s="112">
        <v>13282</v>
      </c>
      <c r="K17" s="89">
        <f t="shared" si="1"/>
        <v>15031</v>
      </c>
    </row>
    <row r="18" spans="1:11" ht="12.75">
      <c r="A18" s="80" t="s">
        <v>79</v>
      </c>
      <c r="B18" s="80">
        <v>386</v>
      </c>
      <c r="C18" s="95">
        <v>2478</v>
      </c>
      <c r="D18" s="101">
        <f>812</f>
        <v>812</v>
      </c>
      <c r="E18" s="105">
        <v>2507</v>
      </c>
      <c r="F18" s="89">
        <f t="shared" si="0"/>
        <v>5797</v>
      </c>
      <c r="G18" s="82"/>
      <c r="H18" s="89">
        <v>0</v>
      </c>
      <c r="I18" s="89">
        <f>750</f>
        <v>750</v>
      </c>
      <c r="J18" s="112">
        <v>4428</v>
      </c>
      <c r="K18" s="89">
        <f t="shared" si="1"/>
        <v>5178</v>
      </c>
    </row>
    <row r="19" spans="1:11" ht="12.75">
      <c r="A19" s="80" t="s">
        <v>13</v>
      </c>
      <c r="B19" s="80">
        <v>297</v>
      </c>
      <c r="C19" s="95">
        <v>6408</v>
      </c>
      <c r="D19" s="101">
        <f>2157</f>
        <v>2157</v>
      </c>
      <c r="E19" s="105">
        <v>11222</v>
      </c>
      <c r="F19" s="89">
        <f t="shared" si="0"/>
        <v>19787</v>
      </c>
      <c r="G19" s="82"/>
      <c r="H19" s="89">
        <v>0</v>
      </c>
      <c r="I19" s="89">
        <f>2368</f>
        <v>2368</v>
      </c>
      <c r="J19" s="112">
        <v>15358</v>
      </c>
      <c r="K19" s="89">
        <f t="shared" si="1"/>
        <v>17726</v>
      </c>
    </row>
    <row r="20" spans="1:11" ht="12.75">
      <c r="A20" s="80" t="s">
        <v>27</v>
      </c>
      <c r="B20" s="80">
        <v>388</v>
      </c>
      <c r="C20" s="95">
        <v>2911</v>
      </c>
      <c r="D20" s="101">
        <f>965</f>
        <v>965</v>
      </c>
      <c r="E20" s="105">
        <v>3516</v>
      </c>
      <c r="F20" s="89">
        <f t="shared" si="0"/>
        <v>7392</v>
      </c>
      <c r="G20" s="82"/>
      <c r="H20" s="89">
        <v>0</v>
      </c>
      <c r="I20" s="89">
        <f>934</f>
        <v>934</v>
      </c>
      <c r="J20" s="112">
        <v>5732</v>
      </c>
      <c r="K20" s="89">
        <f t="shared" si="1"/>
        <v>6666</v>
      </c>
    </row>
    <row r="21" spans="1:11" ht="12.75">
      <c r="A21" s="80" t="s">
        <v>28</v>
      </c>
      <c r="B21" s="80">
        <v>300</v>
      </c>
      <c r="C21" s="95">
        <v>15184</v>
      </c>
      <c r="D21" s="101">
        <f>5285</f>
        <v>5285</v>
      </c>
      <c r="E21" s="105">
        <v>17114</v>
      </c>
      <c r="F21" s="89">
        <f t="shared" si="0"/>
        <v>37583</v>
      </c>
      <c r="G21" s="82"/>
      <c r="H21" s="89">
        <v>0</v>
      </c>
      <c r="I21" s="89">
        <f>5123</f>
        <v>5123</v>
      </c>
      <c r="J21" s="112">
        <v>38638</v>
      </c>
      <c r="K21" s="89">
        <f t="shared" si="1"/>
        <v>43761</v>
      </c>
    </row>
    <row r="22" spans="1:11" ht="12.75">
      <c r="A22" s="80" t="s">
        <v>14</v>
      </c>
      <c r="B22" s="80">
        <v>379</v>
      </c>
      <c r="C22" s="95">
        <v>6875</v>
      </c>
      <c r="D22" s="101">
        <f>2196</f>
        <v>2196</v>
      </c>
      <c r="E22" s="105">
        <v>17358</v>
      </c>
      <c r="F22" s="89">
        <f t="shared" si="0"/>
        <v>26429</v>
      </c>
      <c r="G22" s="82"/>
      <c r="H22" s="89">
        <v>0</v>
      </c>
      <c r="I22" s="89">
        <f>2108</f>
        <v>2108</v>
      </c>
      <c r="J22" s="112">
        <v>17195</v>
      </c>
      <c r="K22" s="89">
        <f t="shared" si="1"/>
        <v>19303</v>
      </c>
    </row>
    <row r="23" spans="1:11" ht="12.75">
      <c r="A23" s="80" t="s">
        <v>15</v>
      </c>
      <c r="B23" s="80">
        <v>295</v>
      </c>
      <c r="C23" s="95">
        <f>14383</f>
        <v>14383</v>
      </c>
      <c r="D23" s="101">
        <f>6880</f>
        <v>6880</v>
      </c>
      <c r="E23" s="105">
        <f>24890</f>
        <v>24890</v>
      </c>
      <c r="F23" s="89">
        <f t="shared" si="0"/>
        <v>46153</v>
      </c>
      <c r="G23" s="82"/>
      <c r="H23" s="89">
        <v>0</v>
      </c>
      <c r="I23" s="89">
        <f>6436</f>
        <v>6436</v>
      </c>
      <c r="J23" s="112">
        <v>36910</v>
      </c>
      <c r="K23" s="89">
        <f t="shared" si="1"/>
        <v>43346</v>
      </c>
    </row>
    <row r="24" spans="1:11" ht="12.75">
      <c r="A24" s="80" t="s">
        <v>16</v>
      </c>
      <c r="B24" s="80">
        <v>381</v>
      </c>
      <c r="C24" s="95">
        <f>4317</f>
        <v>4317</v>
      </c>
      <c r="D24" s="101">
        <f>1509</f>
        <v>1509</v>
      </c>
      <c r="E24" s="105">
        <f>6152</f>
        <v>6152</v>
      </c>
      <c r="F24" s="89">
        <f t="shared" si="0"/>
        <v>11978</v>
      </c>
      <c r="G24" s="82"/>
      <c r="H24" s="89">
        <v>0</v>
      </c>
      <c r="I24" s="89">
        <f>1522</f>
        <v>1522</v>
      </c>
      <c r="J24" s="112">
        <v>10258</v>
      </c>
      <c r="K24" s="89">
        <f t="shared" si="1"/>
        <v>11780</v>
      </c>
    </row>
    <row r="25" spans="1:11" ht="12.75">
      <c r="A25" s="80" t="s">
        <v>17</v>
      </c>
      <c r="B25" s="80">
        <v>52</v>
      </c>
      <c r="C25" s="95">
        <f>4461</f>
        <v>4461</v>
      </c>
      <c r="D25" s="101">
        <f>901</f>
        <v>901</v>
      </c>
      <c r="E25" s="105">
        <f>4984</f>
        <v>4984</v>
      </c>
      <c r="F25" s="89">
        <f t="shared" si="0"/>
        <v>10346</v>
      </c>
      <c r="G25" s="82"/>
      <c r="H25" s="89">
        <v>0</v>
      </c>
      <c r="I25" s="89">
        <f>1124</f>
        <v>1124</v>
      </c>
      <c r="J25" s="112">
        <v>12054</v>
      </c>
      <c r="K25" s="89">
        <f t="shared" si="1"/>
        <v>13178</v>
      </c>
    </row>
    <row r="26" spans="1:11" ht="12.75">
      <c r="A26" s="80" t="s">
        <v>18</v>
      </c>
      <c r="B26" s="80">
        <v>380</v>
      </c>
      <c r="C26" s="95">
        <f>9573</f>
        <v>9573</v>
      </c>
      <c r="D26" s="101">
        <f>4079</f>
        <v>4079</v>
      </c>
      <c r="E26" s="105">
        <f>18757</f>
        <v>18757</v>
      </c>
      <c r="F26" s="89">
        <f t="shared" si="0"/>
        <v>32409</v>
      </c>
      <c r="G26" s="82"/>
      <c r="H26" s="89">
        <v>0</v>
      </c>
      <c r="I26" s="89">
        <f>4000</f>
        <v>4000</v>
      </c>
      <c r="J26" s="112">
        <v>23317</v>
      </c>
      <c r="K26" s="89">
        <f t="shared" si="1"/>
        <v>27317</v>
      </c>
    </row>
    <row r="27" spans="1:11" ht="12.75">
      <c r="A27" s="80" t="s">
        <v>19</v>
      </c>
      <c r="B27" s="80">
        <v>365</v>
      </c>
      <c r="C27" s="95">
        <f>1802</f>
        <v>1802</v>
      </c>
      <c r="D27" s="101">
        <f>750</f>
        <v>750</v>
      </c>
      <c r="E27" s="105">
        <f>770</f>
        <v>770</v>
      </c>
      <c r="F27" s="89">
        <f t="shared" si="0"/>
        <v>3322</v>
      </c>
      <c r="G27" s="82"/>
      <c r="H27" s="89">
        <v>0</v>
      </c>
      <c r="I27" s="89">
        <f>750</f>
        <v>750</v>
      </c>
      <c r="J27" s="112">
        <v>3924</v>
      </c>
      <c r="K27" s="89">
        <f t="shared" si="1"/>
        <v>4674</v>
      </c>
    </row>
    <row r="28" spans="1:11" ht="12.75">
      <c r="A28" s="80" t="s">
        <v>20</v>
      </c>
      <c r="B28" s="80">
        <v>116</v>
      </c>
      <c r="C28" s="95">
        <f>4357</f>
        <v>4357</v>
      </c>
      <c r="D28" s="101">
        <f>1360</f>
        <v>1360</v>
      </c>
      <c r="E28" s="105">
        <f>4864</f>
        <v>4864</v>
      </c>
      <c r="F28" s="89">
        <f t="shared" si="0"/>
        <v>10581</v>
      </c>
      <c r="G28" s="82"/>
      <c r="H28" s="89">
        <v>0</v>
      </c>
      <c r="I28" s="89">
        <f>1365</f>
        <v>1365</v>
      </c>
      <c r="J28" s="112">
        <v>10669</v>
      </c>
      <c r="K28" s="89">
        <f t="shared" si="1"/>
        <v>12034</v>
      </c>
    </row>
    <row r="29" spans="1:11" ht="12.75">
      <c r="A29" s="80" t="s">
        <v>21</v>
      </c>
      <c r="B29" s="80">
        <v>356</v>
      </c>
      <c r="C29" s="95">
        <f>3094</f>
        <v>3094</v>
      </c>
      <c r="D29" s="101">
        <f>1142</f>
        <v>1142</v>
      </c>
      <c r="E29" s="105">
        <f>4465</f>
        <v>4465</v>
      </c>
      <c r="F29" s="89">
        <f t="shared" si="0"/>
        <v>8701</v>
      </c>
      <c r="G29" s="82"/>
      <c r="H29" s="89">
        <v>0</v>
      </c>
      <c r="I29" s="89">
        <f>1067</f>
        <v>1067</v>
      </c>
      <c r="J29" s="112">
        <v>7096</v>
      </c>
      <c r="K29" s="89">
        <f t="shared" si="1"/>
        <v>8163</v>
      </c>
    </row>
    <row r="30" spans="1:11" ht="12.75">
      <c r="A30" s="80" t="s">
        <v>22</v>
      </c>
      <c r="B30" s="80">
        <v>303</v>
      </c>
      <c r="C30" s="95">
        <f>5303</f>
        <v>5303</v>
      </c>
      <c r="D30" s="101">
        <f>1743</f>
        <v>1743</v>
      </c>
      <c r="E30" s="105">
        <f>5492</f>
        <v>5492</v>
      </c>
      <c r="F30" s="89">
        <f t="shared" si="0"/>
        <v>12538</v>
      </c>
      <c r="G30" s="82"/>
      <c r="H30" s="89">
        <v>0</v>
      </c>
      <c r="I30" s="89">
        <f>1394</f>
        <v>1394</v>
      </c>
      <c r="J30" s="112">
        <v>10301</v>
      </c>
      <c r="K30" s="89">
        <f t="shared" si="1"/>
        <v>11695</v>
      </c>
    </row>
    <row r="31" spans="1:11" ht="12.75">
      <c r="A31" s="80" t="s">
        <v>23</v>
      </c>
      <c r="B31" s="80">
        <v>382</v>
      </c>
      <c r="C31" s="95">
        <f>8242</f>
        <v>8242</v>
      </c>
      <c r="D31" s="101">
        <f>2468</f>
        <v>2468</v>
      </c>
      <c r="E31" s="105">
        <f>9651</f>
        <v>9651</v>
      </c>
      <c r="F31" s="89">
        <f t="shared" si="0"/>
        <v>20361</v>
      </c>
      <c r="G31" s="82"/>
      <c r="H31" s="89">
        <v>0</v>
      </c>
      <c r="I31" s="89">
        <f>2664</f>
        <v>2664</v>
      </c>
      <c r="J31" s="112">
        <v>21793</v>
      </c>
      <c r="K31" s="89">
        <f t="shared" si="1"/>
        <v>24457</v>
      </c>
    </row>
    <row r="32" spans="1:11" ht="12.75">
      <c r="A32" s="80" t="s">
        <v>24</v>
      </c>
      <c r="B32" s="80">
        <v>350</v>
      </c>
      <c r="C32" s="95">
        <f>13817</f>
        <v>13817</v>
      </c>
      <c r="D32" s="101">
        <f>4464</f>
        <v>4464</v>
      </c>
      <c r="E32" s="105">
        <f>21075</f>
        <v>21075</v>
      </c>
      <c r="F32" s="89">
        <f t="shared" si="0"/>
        <v>39356</v>
      </c>
      <c r="G32" s="82"/>
      <c r="H32" s="89">
        <v>0</v>
      </c>
      <c r="I32" s="89">
        <f>4842</f>
        <v>4842</v>
      </c>
      <c r="J32" s="112">
        <v>37476</v>
      </c>
      <c r="K32" s="89">
        <f t="shared" si="1"/>
        <v>42318</v>
      </c>
    </row>
    <row r="33" spans="1:11" ht="12.75">
      <c r="A33" s="80" t="s">
        <v>42</v>
      </c>
      <c r="B33" s="80">
        <v>304</v>
      </c>
      <c r="C33" s="95">
        <f>3337</f>
        <v>3337</v>
      </c>
      <c r="D33" s="101">
        <f>1126</f>
        <v>1126</v>
      </c>
      <c r="E33" s="105">
        <f>9128</f>
        <v>9128</v>
      </c>
      <c r="F33" s="89">
        <f t="shared" si="0"/>
        <v>13591</v>
      </c>
      <c r="G33" s="82"/>
      <c r="H33" s="89">
        <v>0</v>
      </c>
      <c r="I33" s="89">
        <f>1131</f>
        <v>1131</v>
      </c>
      <c r="J33" s="112">
        <v>6934</v>
      </c>
      <c r="K33" s="89">
        <f t="shared" si="1"/>
        <v>8065</v>
      </c>
    </row>
    <row r="34" spans="1:11" ht="12.75">
      <c r="A34" s="80" t="s">
        <v>25</v>
      </c>
      <c r="B34" s="80">
        <v>234</v>
      </c>
      <c r="C34" s="95">
        <f>8328</f>
        <v>8328</v>
      </c>
      <c r="D34" s="101">
        <f>3125</f>
        <v>3125</v>
      </c>
      <c r="E34" s="105">
        <f>6748</f>
        <v>6748</v>
      </c>
      <c r="F34" s="89">
        <f t="shared" si="0"/>
        <v>18201</v>
      </c>
      <c r="G34" s="82"/>
      <c r="H34" s="89">
        <v>0</v>
      </c>
      <c r="I34" s="89">
        <f>3179</f>
        <v>3179</v>
      </c>
      <c r="J34" s="112">
        <v>19485</v>
      </c>
      <c r="K34" s="89">
        <f t="shared" si="1"/>
        <v>22664</v>
      </c>
    </row>
    <row r="35" spans="1:11" ht="12.75">
      <c r="A35" s="80" t="s">
        <v>26</v>
      </c>
      <c r="B35" s="80">
        <v>383</v>
      </c>
      <c r="C35" s="95">
        <f>9673</f>
        <v>9673</v>
      </c>
      <c r="D35" s="101">
        <f>2430</f>
        <v>2430</v>
      </c>
      <c r="E35" s="105">
        <f>12724</f>
        <v>12724</v>
      </c>
      <c r="F35" s="89">
        <f t="shared" si="0"/>
        <v>24827</v>
      </c>
      <c r="G35" s="82"/>
      <c r="H35" s="89">
        <v>0</v>
      </c>
      <c r="I35" s="89">
        <f>2894</f>
        <v>2894</v>
      </c>
      <c r="J35" s="112">
        <v>27007</v>
      </c>
      <c r="K35" s="89">
        <f t="shared" si="1"/>
        <v>29901</v>
      </c>
    </row>
    <row r="36" spans="1:11" ht="12.75">
      <c r="A36" s="31" t="s">
        <v>29</v>
      </c>
      <c r="B36" s="31">
        <v>53</v>
      </c>
      <c r="C36" s="96">
        <f>3076</f>
        <v>3076</v>
      </c>
      <c r="D36" s="102">
        <f>897</f>
        <v>897</v>
      </c>
      <c r="E36" s="106">
        <f>3399</f>
        <v>3399</v>
      </c>
      <c r="F36" s="89">
        <f t="shared" si="0"/>
        <v>7372</v>
      </c>
      <c r="G36" s="82"/>
      <c r="H36" s="90">
        <v>0</v>
      </c>
      <c r="I36" s="90">
        <f>875</f>
        <v>875</v>
      </c>
      <c r="J36" s="112">
        <f>6949</f>
        <v>6949</v>
      </c>
      <c r="K36" s="89">
        <f t="shared" si="1"/>
        <v>7824</v>
      </c>
    </row>
    <row r="37" spans="1:11" ht="12.75">
      <c r="A37" s="31" t="s">
        <v>55</v>
      </c>
      <c r="B37" s="31"/>
      <c r="C37" s="96">
        <f>500</f>
        <v>500</v>
      </c>
      <c r="D37" s="102"/>
      <c r="E37" s="106">
        <f>843</f>
        <v>843</v>
      </c>
      <c r="F37" s="89">
        <f t="shared" si="0"/>
        <v>1343</v>
      </c>
      <c r="G37" s="22"/>
      <c r="H37" s="90">
        <v>0</v>
      </c>
      <c r="I37" s="90">
        <v>750</v>
      </c>
      <c r="J37" s="112">
        <f>521</f>
        <v>521</v>
      </c>
      <c r="K37" s="89">
        <f t="shared" si="1"/>
        <v>1271</v>
      </c>
    </row>
    <row r="38" spans="1:11" ht="12.75">
      <c r="A38" s="31" t="s">
        <v>60</v>
      </c>
      <c r="B38" s="31">
        <v>222</v>
      </c>
      <c r="C38" s="96">
        <f>2500</f>
        <v>2500</v>
      </c>
      <c r="D38" s="102"/>
      <c r="E38" s="106">
        <f>625</f>
        <v>625</v>
      </c>
      <c r="F38" s="89">
        <f t="shared" si="0"/>
        <v>3125</v>
      </c>
      <c r="G38" s="22"/>
      <c r="H38" s="90"/>
      <c r="I38" s="90"/>
      <c r="J38" s="112">
        <v>2500</v>
      </c>
      <c r="K38" s="90">
        <f>2500</f>
        <v>2500</v>
      </c>
    </row>
    <row r="39" spans="1:11" ht="12.75">
      <c r="A39" s="31" t="s">
        <v>51</v>
      </c>
      <c r="B39" s="31"/>
      <c r="C39" s="96">
        <f>375</f>
        <v>375</v>
      </c>
      <c r="D39" s="102"/>
      <c r="E39" s="106">
        <v>125</v>
      </c>
      <c r="F39" s="89">
        <f t="shared" si="0"/>
        <v>500</v>
      </c>
      <c r="G39" s="22"/>
      <c r="H39" s="90"/>
      <c r="I39" s="90"/>
      <c r="J39" s="112">
        <v>500</v>
      </c>
      <c r="K39" s="90">
        <f>500</f>
        <v>500</v>
      </c>
    </row>
    <row r="40" spans="1:11" ht="12.75">
      <c r="A40" s="31" t="s">
        <v>88</v>
      </c>
      <c r="B40" s="31"/>
      <c r="C40" s="96"/>
      <c r="D40" s="102"/>
      <c r="E40" s="106">
        <v>500</v>
      </c>
      <c r="F40" s="89">
        <f t="shared" si="0"/>
        <v>500</v>
      </c>
      <c r="G40" s="22"/>
      <c r="H40" s="90"/>
      <c r="I40" s="90"/>
      <c r="J40" s="112">
        <v>500</v>
      </c>
      <c r="K40" s="90">
        <f>500</f>
        <v>500</v>
      </c>
    </row>
    <row r="41" spans="1:11" ht="12.75">
      <c r="A41" s="31" t="s">
        <v>50</v>
      </c>
      <c r="B41" s="31"/>
      <c r="C41" s="96">
        <f>375</f>
        <v>375</v>
      </c>
      <c r="D41" s="102"/>
      <c r="E41" s="106">
        <v>125</v>
      </c>
      <c r="F41" s="89">
        <f t="shared" si="0"/>
        <v>500</v>
      </c>
      <c r="G41" s="22"/>
      <c r="H41" s="90"/>
      <c r="I41" s="90"/>
      <c r="J41" s="112">
        <v>500</v>
      </c>
      <c r="K41" s="90">
        <f>500</f>
        <v>500</v>
      </c>
    </row>
    <row r="42" spans="1:11" ht="12.75">
      <c r="A42" s="31" t="s">
        <v>49</v>
      </c>
      <c r="B42" s="31"/>
      <c r="C42" s="96">
        <f>375</f>
        <v>375</v>
      </c>
      <c r="D42" s="102"/>
      <c r="E42" s="106">
        <v>125</v>
      </c>
      <c r="F42" s="89">
        <f t="shared" si="0"/>
        <v>500</v>
      </c>
      <c r="G42" s="22"/>
      <c r="H42" s="90"/>
      <c r="I42" s="90"/>
      <c r="J42" s="112">
        <v>500</v>
      </c>
      <c r="K42" s="90">
        <f>500</f>
        <v>500</v>
      </c>
    </row>
    <row r="43" spans="1:11" ht="12.75">
      <c r="A43" s="31" t="s">
        <v>56</v>
      </c>
      <c r="B43" s="31"/>
      <c r="C43" s="96">
        <f>375</f>
        <v>375</v>
      </c>
      <c r="D43" s="102"/>
      <c r="E43" s="106">
        <v>125</v>
      </c>
      <c r="F43" s="89">
        <f t="shared" si="0"/>
        <v>500</v>
      </c>
      <c r="G43" s="22"/>
      <c r="H43" s="90"/>
      <c r="I43" s="90"/>
      <c r="J43" s="112">
        <v>500</v>
      </c>
      <c r="K43" s="90">
        <f>500</f>
        <v>500</v>
      </c>
    </row>
    <row r="44" spans="1:11" ht="12.75">
      <c r="A44" s="31" t="s">
        <v>57</v>
      </c>
      <c r="B44" s="31"/>
      <c r="C44" s="96">
        <f>375</f>
        <v>375</v>
      </c>
      <c r="D44" s="102"/>
      <c r="E44" s="106">
        <v>125</v>
      </c>
      <c r="F44" s="89">
        <f t="shared" si="0"/>
        <v>500</v>
      </c>
      <c r="G44" s="22"/>
      <c r="H44" s="90"/>
      <c r="I44" s="90"/>
      <c r="J44" s="112">
        <v>500</v>
      </c>
      <c r="K44" s="90">
        <f>500</f>
        <v>500</v>
      </c>
    </row>
    <row r="45" spans="1:11" ht="12.75">
      <c r="A45" s="31" t="s">
        <v>80</v>
      </c>
      <c r="B45" s="31"/>
      <c r="C45" s="97">
        <f>375</f>
        <v>375</v>
      </c>
      <c r="D45" s="102"/>
      <c r="E45" s="106">
        <v>125</v>
      </c>
      <c r="F45" s="89">
        <f t="shared" si="0"/>
        <v>500</v>
      </c>
      <c r="G45" s="22"/>
      <c r="H45" s="90"/>
      <c r="I45" s="90"/>
      <c r="J45" s="112">
        <v>500</v>
      </c>
      <c r="K45" s="90">
        <f>500</f>
        <v>500</v>
      </c>
    </row>
    <row r="46" spans="1:11" ht="12.75">
      <c r="A46" s="31" t="s">
        <v>52</v>
      </c>
      <c r="B46" s="31"/>
      <c r="C46" s="96">
        <f>375</f>
        <v>375</v>
      </c>
      <c r="D46" s="102"/>
      <c r="E46" s="106">
        <v>125</v>
      </c>
      <c r="F46" s="89">
        <f t="shared" si="0"/>
        <v>500</v>
      </c>
      <c r="G46" s="22"/>
      <c r="H46" s="90"/>
      <c r="I46" s="90"/>
      <c r="J46" s="112">
        <v>500</v>
      </c>
      <c r="K46" s="90">
        <f>500</f>
        <v>500</v>
      </c>
    </row>
    <row r="47" spans="1:11" ht="13.5" thickBot="1">
      <c r="A47" s="31" t="s">
        <v>30</v>
      </c>
      <c r="B47" s="31"/>
      <c r="C47" s="96"/>
      <c r="D47" s="102"/>
      <c r="E47" s="106"/>
      <c r="F47" s="89"/>
      <c r="G47" s="22"/>
      <c r="H47" s="90"/>
      <c r="I47" s="90"/>
      <c r="J47" s="112"/>
      <c r="K47" s="90"/>
    </row>
    <row r="48" spans="1:11" ht="13.5" thickBot="1">
      <c r="A48" s="34" t="s">
        <v>2</v>
      </c>
      <c r="B48" s="34"/>
      <c r="C48" s="98">
        <f>SUM(C15:C47)</f>
        <v>143278</v>
      </c>
      <c r="D48" s="103">
        <f aca="true" t="shared" si="2" ref="D48:K48">SUM(D15:D47)</f>
        <v>48405</v>
      </c>
      <c r="E48" s="107">
        <f t="shared" si="2"/>
        <v>202280</v>
      </c>
      <c r="F48" s="107">
        <f t="shared" si="2"/>
        <v>393963</v>
      </c>
      <c r="G48" s="24"/>
      <c r="H48" s="91">
        <f>SUM(H15:H47)</f>
        <v>0</v>
      </c>
      <c r="I48" s="91">
        <f>SUM(I15:I47)</f>
        <v>49202</v>
      </c>
      <c r="J48" s="113">
        <f t="shared" si="2"/>
        <v>345005</v>
      </c>
      <c r="K48" s="91">
        <f t="shared" si="2"/>
        <v>394207</v>
      </c>
    </row>
    <row r="49" spans="1:7" ht="12.75">
      <c r="A49" s="11"/>
      <c r="B49" s="11"/>
      <c r="C49" s="11"/>
      <c r="D49" s="11"/>
      <c r="E49" s="11"/>
      <c r="F49" s="11"/>
      <c r="G49" s="11"/>
    </row>
    <row r="50" spans="1:4" ht="12.75">
      <c r="A50" s="86"/>
      <c r="B50" s="83"/>
      <c r="D50" s="92"/>
    </row>
    <row r="51" spans="1:2" ht="12.75">
      <c r="A51" s="86"/>
      <c r="B51" s="83"/>
    </row>
    <row r="52" spans="1:2" ht="12.75">
      <c r="A52" s="84"/>
      <c r="B52" s="83"/>
    </row>
    <row r="53" spans="1:2" ht="12.75">
      <c r="A53" s="83"/>
      <c r="B53" s="83"/>
    </row>
    <row r="54" spans="1:2" ht="12.75">
      <c r="A54" s="83"/>
      <c r="B54" s="83"/>
    </row>
    <row r="55" spans="1:2" ht="12.75">
      <c r="A55" s="84"/>
      <c r="B55" s="83"/>
    </row>
    <row r="56" spans="1:2" ht="12.75">
      <c r="A56" s="83"/>
      <c r="B56" s="83"/>
    </row>
    <row r="57" spans="1:2" ht="12.75">
      <c r="A57" s="83"/>
      <c r="B57" s="83"/>
    </row>
    <row r="58" spans="1:2" ht="12.75">
      <c r="A58" s="83"/>
      <c r="B58" s="83"/>
    </row>
    <row r="59" spans="1:2" ht="12.75">
      <c r="A59" s="83"/>
      <c r="B59" s="83"/>
    </row>
    <row r="60" spans="1:2" ht="12.75">
      <c r="A60" s="83"/>
      <c r="B60" s="83"/>
    </row>
    <row r="61" spans="1:2" ht="12.75">
      <c r="A61" s="83"/>
      <c r="B61" s="83"/>
    </row>
  </sheetData>
  <sheetProtection/>
  <mergeCells count="5">
    <mergeCell ref="A1:K1"/>
    <mergeCell ref="A2:K2"/>
    <mergeCell ref="A3:K3"/>
    <mergeCell ref="A4:K4"/>
    <mergeCell ref="A5:K5"/>
  </mergeCells>
  <printOptions horizontalCentered="1"/>
  <pageMargins left="0.5" right="0.25" top="0.5" bottom="0.5" header="0.5" footer="0.5"/>
  <pageSetup fitToHeight="1" fitToWidth="1" horizontalDpi="600" verticalDpi="600" orientation="landscape" scale="75" r:id="rId1"/>
  <ignoredErrors>
    <ignoredError sqref="K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34"/>
  <sheetViews>
    <sheetView showOutlineSymbols="0" zoomScalePageLayoutView="0" workbookViewId="0" topLeftCell="A1">
      <selection activeCell="B22" sqref="B22"/>
    </sheetView>
  </sheetViews>
  <sheetFormatPr defaultColWidth="9.140625" defaultRowHeight="12.75"/>
  <cols>
    <col min="1" max="1" width="24.421875" style="0" customWidth="1"/>
    <col min="2" max="2" width="61.00390625" style="0" customWidth="1"/>
  </cols>
  <sheetData>
    <row r="1" spans="1:2" ht="12.75">
      <c r="A1" s="30" t="s">
        <v>0</v>
      </c>
      <c r="B1" s="3"/>
    </row>
    <row r="2" spans="1:2" ht="12.75">
      <c r="A2" s="6" t="s">
        <v>53</v>
      </c>
      <c r="B2" s="7"/>
    </row>
    <row r="3" spans="1:2" ht="12.75">
      <c r="A3" s="6"/>
      <c r="B3" s="7"/>
    </row>
    <row r="4" spans="1:2" ht="12.75">
      <c r="A4" s="125"/>
      <c r="B4" s="127"/>
    </row>
    <row r="5" spans="1:2" ht="12.75">
      <c r="A5" s="8"/>
      <c r="B5" s="7"/>
    </row>
    <row r="6" spans="1:2" ht="13.5" thickBot="1">
      <c r="A6" s="9" t="s">
        <v>54</v>
      </c>
      <c r="B6" s="5"/>
    </row>
    <row r="7" spans="1:2" ht="12.75">
      <c r="A7" s="12"/>
      <c r="B7" s="18"/>
    </row>
    <row r="8" spans="1:2" ht="12.75">
      <c r="A8" s="13"/>
      <c r="B8" s="20" t="s">
        <v>31</v>
      </c>
    </row>
    <row r="9" spans="1:2" ht="13.5" thickBot="1">
      <c r="A9" s="14" t="s">
        <v>1</v>
      </c>
      <c r="B9" s="17" t="s">
        <v>32</v>
      </c>
    </row>
    <row r="10" spans="1:2" ht="12.75">
      <c r="A10" s="13" t="s">
        <v>10</v>
      </c>
      <c r="B10" s="19" t="s">
        <v>3</v>
      </c>
    </row>
    <row r="11" spans="1:2" ht="12.75">
      <c r="A11" s="13" t="s">
        <v>11</v>
      </c>
      <c r="B11" s="19" t="s">
        <v>4</v>
      </c>
    </row>
    <row r="12" spans="1:2" ht="12.75">
      <c r="A12" s="13" t="s">
        <v>9</v>
      </c>
      <c r="B12" s="54" t="s">
        <v>78</v>
      </c>
    </row>
    <row r="13" spans="1:2" ht="12.75">
      <c r="A13" s="13" t="s">
        <v>85</v>
      </c>
      <c r="B13" s="19" t="s">
        <v>84</v>
      </c>
    </row>
    <row r="14" spans="1:2" ht="12.75">
      <c r="A14" s="13" t="s">
        <v>27</v>
      </c>
      <c r="B14" s="19" t="s">
        <v>5</v>
      </c>
    </row>
    <row r="15" spans="1:2" ht="12.75">
      <c r="A15" s="13" t="s">
        <v>28</v>
      </c>
      <c r="B15" s="19" t="s">
        <v>6</v>
      </c>
    </row>
    <row r="16" spans="1:2" ht="12.75">
      <c r="A16" s="13" t="s">
        <v>13</v>
      </c>
      <c r="B16" s="19" t="s">
        <v>43</v>
      </c>
    </row>
    <row r="17" spans="1:2" ht="12.75">
      <c r="A17" s="13" t="s">
        <v>30</v>
      </c>
      <c r="B17" s="19" t="s">
        <v>44</v>
      </c>
    </row>
    <row r="18" spans="1:2" ht="12.75">
      <c r="A18" s="13" t="s">
        <v>14</v>
      </c>
      <c r="B18" s="19" t="s">
        <v>7</v>
      </c>
    </row>
    <row r="19" spans="1:2" ht="12.75">
      <c r="A19" s="13" t="s">
        <v>15</v>
      </c>
      <c r="B19" s="19" t="s">
        <v>59</v>
      </c>
    </row>
    <row r="20" spans="1:2" ht="12.75">
      <c r="A20" s="13" t="s">
        <v>16</v>
      </c>
      <c r="B20" s="19" t="s">
        <v>45</v>
      </c>
    </row>
    <row r="21" spans="1:2" ht="12.75">
      <c r="A21" s="13" t="s">
        <v>18</v>
      </c>
      <c r="B21" s="19" t="s">
        <v>86</v>
      </c>
    </row>
    <row r="22" spans="1:2" ht="12.75">
      <c r="A22" s="13" t="s">
        <v>17</v>
      </c>
      <c r="B22" s="19" t="s">
        <v>8</v>
      </c>
    </row>
    <row r="23" spans="1:2" ht="12.75">
      <c r="A23" s="13" t="s">
        <v>19</v>
      </c>
      <c r="B23" s="19" t="s">
        <v>33</v>
      </c>
    </row>
    <row r="24" spans="1:2" ht="12.75">
      <c r="A24" s="13" t="s">
        <v>20</v>
      </c>
      <c r="B24" s="19" t="s">
        <v>34</v>
      </c>
    </row>
    <row r="25" spans="1:2" ht="12.75">
      <c r="A25" s="13" t="s">
        <v>21</v>
      </c>
      <c r="B25" s="19" t="s">
        <v>35</v>
      </c>
    </row>
    <row r="26" spans="1:2" ht="12.75">
      <c r="A26" s="13" t="s">
        <v>22</v>
      </c>
      <c r="B26" s="19" t="s">
        <v>36</v>
      </c>
    </row>
    <row r="27" spans="1:2" ht="12.75">
      <c r="A27" s="13" t="s">
        <v>23</v>
      </c>
      <c r="B27" s="19" t="s">
        <v>37</v>
      </c>
    </row>
    <row r="28" spans="1:2" ht="12.75">
      <c r="A28" s="13" t="s">
        <v>24</v>
      </c>
      <c r="B28" s="19" t="s">
        <v>38</v>
      </c>
    </row>
    <row r="29" spans="1:2" ht="12.75">
      <c r="A29" s="13" t="s">
        <v>42</v>
      </c>
      <c r="B29" s="19" t="s">
        <v>39</v>
      </c>
    </row>
    <row r="30" spans="1:2" ht="12.75">
      <c r="A30" s="13" t="s">
        <v>25</v>
      </c>
      <c r="B30" s="55" t="s">
        <v>77</v>
      </c>
    </row>
    <row r="31" spans="1:2" ht="12.75">
      <c r="A31" s="13" t="s">
        <v>26</v>
      </c>
      <c r="B31" s="19" t="s">
        <v>40</v>
      </c>
    </row>
    <row r="32" spans="1:2" ht="13.5" thickBot="1">
      <c r="A32" s="13" t="s">
        <v>29</v>
      </c>
      <c r="B32" s="19" t="s">
        <v>41</v>
      </c>
    </row>
    <row r="33" spans="1:2" ht="13.5" thickBot="1">
      <c r="A33" s="15" t="s">
        <v>2</v>
      </c>
      <c r="B33" s="16"/>
    </row>
    <row r="34" spans="1:2" ht="12.75">
      <c r="A34" s="11"/>
      <c r="B34" s="11"/>
    </row>
  </sheetData>
  <sheetProtection/>
  <mergeCells count="1">
    <mergeCell ref="A4:B4"/>
  </mergeCells>
  <printOptions horizontalCentered="1"/>
  <pageMargins left="1" right="0.4" top="1" bottom="0.833333333333333" header="0.333333333333333" footer="0.33333333333333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1.00390625" style="0" customWidth="1"/>
    <col min="3" max="4" width="9.7109375" style="0" bestFit="1" customWidth="1"/>
  </cols>
  <sheetData>
    <row r="1" spans="1:11" ht="12.75">
      <c r="A1" s="30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28" t="s">
        <v>46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45" t="s">
        <v>69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2.75">
      <c r="A4" s="6" t="s">
        <v>83</v>
      </c>
      <c r="B4" s="1"/>
      <c r="C4" s="1"/>
      <c r="D4" s="1"/>
      <c r="E4" s="1"/>
      <c r="F4" s="1"/>
      <c r="G4" s="1"/>
      <c r="H4" s="1"/>
      <c r="I4" s="1"/>
      <c r="J4" s="1"/>
      <c r="K4" s="7"/>
    </row>
    <row r="5" spans="1:11" ht="12.75">
      <c r="A5" s="125">
        <v>39883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</row>
    <row r="6" spans="1:11" ht="12.75">
      <c r="A6" s="41"/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2.75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3.5" thickBot="1">
      <c r="A8" s="9"/>
      <c r="B8" s="39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32"/>
      <c r="B9" s="32"/>
      <c r="C9" s="18"/>
      <c r="D9" s="35"/>
      <c r="E9" s="18"/>
      <c r="F9" s="18"/>
      <c r="G9" s="18"/>
      <c r="H9" s="61" t="s">
        <v>75</v>
      </c>
      <c r="I9" s="28"/>
      <c r="J9" s="18"/>
      <c r="K9" s="18"/>
    </row>
    <row r="10" spans="1:11" ht="12.75">
      <c r="A10" s="31"/>
      <c r="B10" s="31"/>
      <c r="C10" s="20"/>
      <c r="D10" s="36"/>
      <c r="E10" s="53" t="s">
        <v>75</v>
      </c>
      <c r="F10" s="20" t="s">
        <v>70</v>
      </c>
      <c r="G10" s="20" t="s">
        <v>71</v>
      </c>
      <c r="H10" s="20" t="s">
        <v>73</v>
      </c>
      <c r="I10" s="25"/>
      <c r="J10" s="20"/>
      <c r="K10" s="53" t="s">
        <v>76</v>
      </c>
    </row>
    <row r="11" spans="1:11" ht="12.75">
      <c r="A11" s="31"/>
      <c r="B11" s="31"/>
      <c r="C11" s="49" t="s">
        <v>70</v>
      </c>
      <c r="D11" s="50" t="s">
        <v>71</v>
      </c>
      <c r="E11" s="49" t="s">
        <v>73</v>
      </c>
      <c r="F11" s="20" t="s">
        <v>81</v>
      </c>
      <c r="G11" s="20" t="s">
        <v>82</v>
      </c>
      <c r="H11" s="20" t="s">
        <v>81</v>
      </c>
      <c r="I11" s="48" t="s">
        <v>70</v>
      </c>
      <c r="J11" s="49" t="s">
        <v>71</v>
      </c>
      <c r="K11" s="49" t="s">
        <v>73</v>
      </c>
    </row>
    <row r="12" spans="1:11" ht="13.5" thickBot="1">
      <c r="A12" s="33" t="s">
        <v>1</v>
      </c>
      <c r="B12" s="33" t="s">
        <v>58</v>
      </c>
      <c r="C12" s="46" t="s">
        <v>47</v>
      </c>
      <c r="D12" s="47" t="s">
        <v>72</v>
      </c>
      <c r="E12" s="51" t="s">
        <v>47</v>
      </c>
      <c r="F12" s="21" t="s">
        <v>47</v>
      </c>
      <c r="G12" s="21" t="s">
        <v>47</v>
      </c>
      <c r="H12" s="21" t="s">
        <v>47</v>
      </c>
      <c r="I12" s="52" t="s">
        <v>48</v>
      </c>
      <c r="J12" s="51" t="s">
        <v>74</v>
      </c>
      <c r="K12" s="51" t="s">
        <v>48</v>
      </c>
    </row>
    <row r="13" spans="1:11" ht="12.75">
      <c r="A13" s="31" t="s">
        <v>9</v>
      </c>
      <c r="B13" s="31">
        <v>392</v>
      </c>
      <c r="C13" s="26">
        <f>26.38+3+62.05+66.34+70.88+7.06+9.6</f>
        <v>245.30999999999997</v>
      </c>
      <c r="D13" s="10">
        <f>23.58+6+71.86+67.03+68.86+4.53+6.66+5.33</f>
        <v>253.85</v>
      </c>
      <c r="E13" s="56">
        <f>(C13+D13)/2</f>
        <v>249.57999999999998</v>
      </c>
      <c r="F13" s="62"/>
      <c r="G13" s="62"/>
      <c r="H13" s="62"/>
      <c r="I13" s="57">
        <v>17.57</v>
      </c>
      <c r="J13" s="59">
        <f>18.73</f>
        <v>18.73</v>
      </c>
      <c r="K13" s="60">
        <f>(I13+J13)/2</f>
        <v>18.15</v>
      </c>
    </row>
    <row r="14" spans="1:11" ht="12.75">
      <c r="A14" s="31" t="s">
        <v>10</v>
      </c>
      <c r="B14" s="31">
        <v>387</v>
      </c>
      <c r="C14" s="26">
        <f>48.46</f>
        <v>48.46</v>
      </c>
      <c r="D14" s="10">
        <f>50.38</f>
        <v>50.38</v>
      </c>
      <c r="E14" s="56">
        <f aca="true" t="shared" si="0" ref="E14:E34">(C14+D14)/2</f>
        <v>49.42</v>
      </c>
      <c r="F14" s="62"/>
      <c r="G14" s="62"/>
      <c r="H14" s="62"/>
      <c r="I14" s="29">
        <f>4.1</f>
        <v>4.1</v>
      </c>
      <c r="J14" s="59">
        <f>4.1</f>
        <v>4.1</v>
      </c>
      <c r="K14" s="60">
        <f aca="true" t="shared" si="1" ref="K14:K34">(I14+J14)/2</f>
        <v>4.1</v>
      </c>
    </row>
    <row r="15" spans="1:11" ht="12.75">
      <c r="A15" s="31" t="s">
        <v>11</v>
      </c>
      <c r="B15" s="31">
        <v>377</v>
      </c>
      <c r="C15" s="26">
        <f>475.46</f>
        <v>475.46</v>
      </c>
      <c r="D15" s="10">
        <f>428.73</f>
        <v>428.73</v>
      </c>
      <c r="E15" s="56">
        <f t="shared" si="0"/>
        <v>452.095</v>
      </c>
      <c r="F15" s="62" t="e">
        <f>#REF!</f>
        <v>#REF!</v>
      </c>
      <c r="G15" s="62"/>
      <c r="H15" s="62" t="e">
        <f>(F15+G15)/2</f>
        <v>#REF!</v>
      </c>
      <c r="I15" s="29">
        <f>4.27+20.77</f>
        <v>25.04</v>
      </c>
      <c r="J15" s="59">
        <f>1+22.42</f>
        <v>23.42</v>
      </c>
      <c r="K15" s="60">
        <f t="shared" si="1"/>
        <v>24.23</v>
      </c>
    </row>
    <row r="16" spans="1:11" ht="12.75">
      <c r="A16" s="31" t="s">
        <v>12</v>
      </c>
      <c r="B16" s="31">
        <v>386</v>
      </c>
      <c r="C16" s="26">
        <f>195.63</f>
        <v>195.63</v>
      </c>
      <c r="D16" s="40">
        <f>175.26</f>
        <v>175.26</v>
      </c>
      <c r="E16" s="56">
        <f t="shared" si="0"/>
        <v>185.445</v>
      </c>
      <c r="F16" s="62"/>
      <c r="G16" s="62"/>
      <c r="H16" s="62"/>
      <c r="I16" s="29">
        <f>13.46</f>
        <v>13.46</v>
      </c>
      <c r="J16" s="59">
        <f>12.67</f>
        <v>12.67</v>
      </c>
      <c r="K16" s="60">
        <f t="shared" si="1"/>
        <v>13.065000000000001</v>
      </c>
    </row>
    <row r="17" spans="1:11" ht="12.75">
      <c r="A17" s="31" t="s">
        <v>13</v>
      </c>
      <c r="B17" s="31">
        <v>297</v>
      </c>
      <c r="C17" s="26">
        <f>306.7+421.2+6.86+28.53</f>
        <v>763.29</v>
      </c>
      <c r="D17" s="40">
        <f>269.06+377.23+3.83+18.75</f>
        <v>668.87</v>
      </c>
      <c r="E17" s="56">
        <f t="shared" si="0"/>
        <v>716.0799999999999</v>
      </c>
      <c r="F17" s="62"/>
      <c r="G17" s="62"/>
      <c r="H17" s="62"/>
      <c r="I17" s="29">
        <f>27.69</f>
        <v>27.69</v>
      </c>
      <c r="J17" s="59">
        <f>25.62</f>
        <v>25.62</v>
      </c>
      <c r="K17" s="60">
        <f t="shared" si="1"/>
        <v>26.655</v>
      </c>
    </row>
    <row r="18" spans="1:11" ht="12.75">
      <c r="A18" s="31" t="s">
        <v>27</v>
      </c>
      <c r="B18" s="31">
        <v>388</v>
      </c>
      <c r="C18" s="26">
        <f>209.76</f>
        <v>209.76</v>
      </c>
      <c r="D18" s="40">
        <f>181.05</f>
        <v>181.05</v>
      </c>
      <c r="E18" s="56">
        <f t="shared" si="0"/>
        <v>195.405</v>
      </c>
      <c r="F18" s="62"/>
      <c r="G18" s="62"/>
      <c r="H18" s="62"/>
      <c r="I18" s="29">
        <f>10.04</f>
        <v>10.04</v>
      </c>
      <c r="J18" s="59">
        <f>10.9</f>
        <v>10.9</v>
      </c>
      <c r="K18" s="60">
        <f t="shared" si="1"/>
        <v>10.469999999999999</v>
      </c>
    </row>
    <row r="19" spans="1:11" ht="12.75">
      <c r="A19" s="31" t="s">
        <v>28</v>
      </c>
      <c r="B19" s="31">
        <v>300</v>
      </c>
      <c r="C19" s="26">
        <f>1191.01</f>
        <v>1191.01</v>
      </c>
      <c r="D19" s="40">
        <f>1171.84</f>
        <v>1171.84</v>
      </c>
      <c r="E19" s="56">
        <f t="shared" si="0"/>
        <v>1181.425</v>
      </c>
      <c r="F19" s="62" t="e">
        <f>#REF!</f>
        <v>#REF!</v>
      </c>
      <c r="G19" s="62" t="e">
        <f>#REF!</f>
        <v>#REF!</v>
      </c>
      <c r="H19" s="62" t="e">
        <f>(F19+G19)/2</f>
        <v>#REF!</v>
      </c>
      <c r="I19" s="29">
        <f>57.23</f>
        <v>57.23</v>
      </c>
      <c r="J19" s="59">
        <f>56.25</f>
        <v>56.25</v>
      </c>
      <c r="K19" s="60">
        <f t="shared" si="1"/>
        <v>56.739999999999995</v>
      </c>
    </row>
    <row r="20" spans="1:11" ht="12.75">
      <c r="A20" s="31" t="s">
        <v>14</v>
      </c>
      <c r="B20" s="31">
        <v>379</v>
      </c>
      <c r="C20" s="26">
        <f>624.04</f>
        <v>624.04</v>
      </c>
      <c r="D20" s="40">
        <f>637.58</f>
        <v>637.58</v>
      </c>
      <c r="E20" s="56">
        <f t="shared" si="0"/>
        <v>630.81</v>
      </c>
      <c r="F20" s="62" t="e">
        <f>#REF!</f>
        <v>#REF!</v>
      </c>
      <c r="G20" s="62" t="e">
        <f>#REF!</f>
        <v>#REF!</v>
      </c>
      <c r="H20" s="62" t="e">
        <f>(F20+G20)/2</f>
        <v>#REF!</v>
      </c>
      <c r="I20" s="29">
        <f>26.11</f>
        <v>26.11</v>
      </c>
      <c r="J20" s="59">
        <f>25.87</f>
        <v>25.87</v>
      </c>
      <c r="K20" s="60">
        <f t="shared" si="1"/>
        <v>25.990000000000002</v>
      </c>
    </row>
    <row r="21" spans="1:11" ht="12.75">
      <c r="A21" s="31" t="s">
        <v>15</v>
      </c>
      <c r="B21" s="31">
        <v>295</v>
      </c>
      <c r="C21" s="26">
        <f>10.7+1347.55+6.71</f>
        <v>1364.96</v>
      </c>
      <c r="D21" s="40">
        <f>17.85+1043.99+4.25</f>
        <v>1066.09</v>
      </c>
      <c r="E21" s="56">
        <f t="shared" si="0"/>
        <v>1215.525</v>
      </c>
      <c r="F21" s="62" t="e">
        <f>#REF!</f>
        <v>#REF!</v>
      </c>
      <c r="G21" s="62" t="e">
        <f>#REF!</f>
        <v>#REF!</v>
      </c>
      <c r="H21" s="62" t="e">
        <f>(F21+G21)/2</f>
        <v>#REF!</v>
      </c>
      <c r="I21" s="29">
        <f>87.09</f>
        <v>87.09</v>
      </c>
      <c r="J21" s="59">
        <f>72.18</f>
        <v>72.18</v>
      </c>
      <c r="K21" s="60">
        <f t="shared" si="1"/>
        <v>79.635</v>
      </c>
    </row>
    <row r="22" spans="1:11" ht="12.75">
      <c r="A22" s="31" t="s">
        <v>16</v>
      </c>
      <c r="B22" s="31">
        <v>381</v>
      </c>
      <c r="C22" s="26">
        <f>333.15+0.25</f>
        <v>333.4</v>
      </c>
      <c r="D22" s="40">
        <f>294.96</f>
        <v>294.96</v>
      </c>
      <c r="E22" s="56">
        <f t="shared" si="0"/>
        <v>314.17999999999995</v>
      </c>
      <c r="F22" s="62" t="e">
        <f>#REF!</f>
        <v>#REF!</v>
      </c>
      <c r="G22" s="62" t="e">
        <f>#REF!</f>
        <v>#REF!</v>
      </c>
      <c r="H22" s="62" t="e">
        <f>(F22+G22)/2</f>
        <v>#REF!</v>
      </c>
      <c r="I22" s="29">
        <f>18.67</f>
        <v>18.67</v>
      </c>
      <c r="J22" s="59">
        <f>19.23-0.2</f>
        <v>19.03</v>
      </c>
      <c r="K22" s="60">
        <f t="shared" si="1"/>
        <v>18.85</v>
      </c>
    </row>
    <row r="23" spans="1:11" ht="12.75">
      <c r="A23" s="31" t="s">
        <v>17</v>
      </c>
      <c r="B23" s="31">
        <v>52</v>
      </c>
      <c r="C23" s="26">
        <v>188.2</v>
      </c>
      <c r="D23" s="40">
        <f>168.13</f>
        <v>168.13</v>
      </c>
      <c r="E23" s="56">
        <f t="shared" si="0"/>
        <v>178.165</v>
      </c>
      <c r="F23" s="62" t="e">
        <f>#REF!</f>
        <v>#REF!</v>
      </c>
      <c r="G23" s="62" t="e">
        <f>#REF!</f>
        <v>#REF!</v>
      </c>
      <c r="H23" s="62" t="e">
        <f>(F23+G23)/2</f>
        <v>#REF!</v>
      </c>
      <c r="I23" s="29">
        <f>10</f>
        <v>10</v>
      </c>
      <c r="J23" s="59">
        <v>10</v>
      </c>
      <c r="K23" s="60">
        <f t="shared" si="1"/>
        <v>10</v>
      </c>
    </row>
    <row r="24" spans="1:11" ht="12.75">
      <c r="A24" s="31" t="s">
        <v>18</v>
      </c>
      <c r="B24" s="31">
        <v>380</v>
      </c>
      <c r="C24" s="26">
        <v>906.56</v>
      </c>
      <c r="D24" s="40">
        <f>892.98</f>
        <v>892.98</v>
      </c>
      <c r="E24" s="56">
        <f t="shared" si="0"/>
        <v>899.77</v>
      </c>
      <c r="F24" s="62"/>
      <c r="G24" s="62"/>
      <c r="H24" s="62"/>
      <c r="I24" s="29">
        <f>42.87</f>
        <v>42.87</v>
      </c>
      <c r="J24" s="59">
        <f>45.74-0.2</f>
        <v>45.54</v>
      </c>
      <c r="K24" s="60">
        <f t="shared" si="1"/>
        <v>44.205</v>
      </c>
    </row>
    <row r="25" spans="1:11" ht="12.75">
      <c r="A25" s="31" t="s">
        <v>19</v>
      </c>
      <c r="B25" s="31">
        <v>365</v>
      </c>
      <c r="C25" s="26">
        <f>36.4</f>
        <v>36.4</v>
      </c>
      <c r="D25" s="40">
        <f>33.4</f>
        <v>33.4</v>
      </c>
      <c r="E25" s="56">
        <f t="shared" si="0"/>
        <v>34.9</v>
      </c>
      <c r="F25" s="62"/>
      <c r="G25" s="62"/>
      <c r="H25" s="62"/>
      <c r="I25" s="29">
        <f>1</f>
        <v>1</v>
      </c>
      <c r="J25" s="59">
        <v>1.2</v>
      </c>
      <c r="K25" s="60">
        <f t="shared" si="1"/>
        <v>1.1</v>
      </c>
    </row>
    <row r="26" spans="1:11" ht="12.75">
      <c r="A26" s="31" t="s">
        <v>20</v>
      </c>
      <c r="B26" s="31">
        <v>116</v>
      </c>
      <c r="C26" s="26">
        <f>233.26</f>
        <v>233.26</v>
      </c>
      <c r="D26" s="40">
        <f>213.73</f>
        <v>213.73</v>
      </c>
      <c r="E26" s="56">
        <f t="shared" si="0"/>
        <v>223.495</v>
      </c>
      <c r="F26" s="62"/>
      <c r="G26" s="62"/>
      <c r="H26" s="62"/>
      <c r="I26" s="29">
        <f>16.14</f>
        <v>16.14</v>
      </c>
      <c r="J26" s="59">
        <v>16.38</v>
      </c>
      <c r="K26" s="60">
        <f t="shared" si="1"/>
        <v>16.259999999999998</v>
      </c>
    </row>
    <row r="27" spans="1:11" ht="12.75">
      <c r="A27" s="31" t="s">
        <v>21</v>
      </c>
      <c r="B27" s="31">
        <v>356</v>
      </c>
      <c r="C27" s="26">
        <f>149.28</f>
        <v>149.28</v>
      </c>
      <c r="D27" s="40">
        <f>141.55</f>
        <v>141.55</v>
      </c>
      <c r="E27" s="56">
        <f t="shared" si="0"/>
        <v>145.41500000000002</v>
      </c>
      <c r="F27" s="62" t="e">
        <f>#REF!</f>
        <v>#REF!</v>
      </c>
      <c r="G27" s="62" t="e">
        <f>#REF!</f>
        <v>#REF!</v>
      </c>
      <c r="H27" s="62" t="e">
        <f>(F27+G27)/2</f>
        <v>#REF!</v>
      </c>
      <c r="I27" s="29">
        <f>12.5</f>
        <v>12.5</v>
      </c>
      <c r="J27" s="59">
        <f>12.1</f>
        <v>12.1</v>
      </c>
      <c r="K27" s="60">
        <f t="shared" si="1"/>
        <v>12.3</v>
      </c>
    </row>
    <row r="28" spans="1:11" ht="12.75">
      <c r="A28" s="31" t="s">
        <v>22</v>
      </c>
      <c r="B28" s="31">
        <v>303</v>
      </c>
      <c r="C28" s="26">
        <f>580.03</f>
        <v>580.03</v>
      </c>
      <c r="D28" s="40">
        <f>512.99</f>
        <v>512.99</v>
      </c>
      <c r="E28" s="56">
        <f t="shared" si="0"/>
        <v>546.51</v>
      </c>
      <c r="F28" s="62"/>
      <c r="G28" s="62"/>
      <c r="H28" s="62"/>
      <c r="I28" s="29">
        <f>23.4</f>
        <v>23.4</v>
      </c>
      <c r="J28" s="59">
        <f>22.6</f>
        <v>22.6</v>
      </c>
      <c r="K28" s="60">
        <f t="shared" si="1"/>
        <v>23</v>
      </c>
    </row>
    <row r="29" spans="1:11" ht="12.75">
      <c r="A29" s="31" t="s">
        <v>23</v>
      </c>
      <c r="B29" s="31">
        <v>382</v>
      </c>
      <c r="C29" s="26">
        <f>746.05</f>
        <v>746.05</v>
      </c>
      <c r="D29" s="40">
        <f>691.71</f>
        <v>691.71</v>
      </c>
      <c r="E29" s="56">
        <f t="shared" si="0"/>
        <v>718.88</v>
      </c>
      <c r="F29" s="62"/>
      <c r="G29" s="62"/>
      <c r="H29" s="62"/>
      <c r="I29" s="29">
        <f>25</f>
        <v>25</v>
      </c>
      <c r="J29" s="59">
        <f>25.4</f>
        <v>25.4</v>
      </c>
      <c r="K29" s="60">
        <f t="shared" si="1"/>
        <v>25.2</v>
      </c>
    </row>
    <row r="30" spans="1:11" ht="12.75">
      <c r="A30" s="31" t="s">
        <v>24</v>
      </c>
      <c r="B30" s="31">
        <v>350</v>
      </c>
      <c r="C30" s="26">
        <v>1124.46</v>
      </c>
      <c r="D30" s="40">
        <f>1079.28</f>
        <v>1079.28</v>
      </c>
      <c r="E30" s="56">
        <f t="shared" si="0"/>
        <v>1101.87</v>
      </c>
      <c r="F30" s="62" t="e">
        <f>#REF!</f>
        <v>#REF!</v>
      </c>
      <c r="G30" s="62" t="e">
        <f>#REF!</f>
        <v>#REF!</v>
      </c>
      <c r="H30" s="62" t="e">
        <f>(F30+G30)/2</f>
        <v>#REF!</v>
      </c>
      <c r="I30" s="29">
        <f>49.28</f>
        <v>49.28</v>
      </c>
      <c r="J30" s="59">
        <f>45.85+0.5</f>
        <v>46.35</v>
      </c>
      <c r="K30" s="60">
        <f t="shared" si="1"/>
        <v>47.815</v>
      </c>
    </row>
    <row r="31" spans="1:11" ht="12.75">
      <c r="A31" s="31" t="s">
        <v>42</v>
      </c>
      <c r="B31" s="31">
        <v>304</v>
      </c>
      <c r="C31" s="26">
        <f>353.01</f>
        <v>353.01</v>
      </c>
      <c r="D31" s="40">
        <f>325.63</f>
        <v>325.63</v>
      </c>
      <c r="E31" s="56">
        <f t="shared" si="0"/>
        <v>339.32</v>
      </c>
      <c r="F31" s="62"/>
      <c r="G31" s="62"/>
      <c r="H31" s="62"/>
      <c r="I31" s="29">
        <v>15.55</v>
      </c>
      <c r="J31" s="59">
        <f>14.65</f>
        <v>14.65</v>
      </c>
      <c r="K31" s="60">
        <f t="shared" si="1"/>
        <v>15.100000000000001</v>
      </c>
    </row>
    <row r="32" spans="1:11" ht="12.75">
      <c r="A32" s="31" t="s">
        <v>25</v>
      </c>
      <c r="B32" s="31">
        <v>234</v>
      </c>
      <c r="C32" s="26">
        <f>12.13+121.38+49.28+98.43+8.86+5.8+10.38+257.49</f>
        <v>563.75</v>
      </c>
      <c r="D32" s="40">
        <f>4.59+97.21+53.96+5.13+96.13+5.73+7.3+6.33+232.23</f>
        <v>508.61</v>
      </c>
      <c r="E32" s="56">
        <f t="shared" si="0"/>
        <v>536.1800000000001</v>
      </c>
      <c r="F32" s="62"/>
      <c r="G32" s="62"/>
      <c r="H32" s="62"/>
      <c r="I32" s="29">
        <f>37.34</f>
        <v>37.34</v>
      </c>
      <c r="J32" s="59">
        <f>38.18</f>
        <v>38.18</v>
      </c>
      <c r="K32" s="60">
        <f t="shared" si="1"/>
        <v>37.760000000000005</v>
      </c>
    </row>
    <row r="33" spans="1:11" ht="12.75">
      <c r="A33" s="31" t="s">
        <v>26</v>
      </c>
      <c r="B33" s="31">
        <v>383</v>
      </c>
      <c r="C33" s="26">
        <f>742.76</f>
        <v>742.76</v>
      </c>
      <c r="D33" s="40">
        <f>644.55</f>
        <v>644.55</v>
      </c>
      <c r="E33" s="56">
        <f t="shared" si="0"/>
        <v>693.655</v>
      </c>
      <c r="F33" s="62" t="e">
        <f>#REF!</f>
        <v>#REF!</v>
      </c>
      <c r="G33" s="62" t="e">
        <f>#REF!</f>
        <v>#REF!</v>
      </c>
      <c r="H33" s="62" t="e">
        <f>(F33+G33)/2</f>
        <v>#REF!</v>
      </c>
      <c r="I33" s="29">
        <f>26.16</f>
        <v>26.16</v>
      </c>
      <c r="J33" s="59">
        <f>25.37</f>
        <v>25.37</v>
      </c>
      <c r="K33" s="60">
        <f t="shared" si="1"/>
        <v>25.765</v>
      </c>
    </row>
    <row r="34" spans="1:11" ht="12.75">
      <c r="A34" s="31" t="s">
        <v>29</v>
      </c>
      <c r="B34" s="31">
        <v>53</v>
      </c>
      <c r="C34" s="26">
        <f>269.4</f>
        <v>269.4</v>
      </c>
      <c r="D34" s="40">
        <f>249.25</f>
        <v>249.25</v>
      </c>
      <c r="E34" s="56">
        <f t="shared" si="0"/>
        <v>259.325</v>
      </c>
      <c r="F34" s="62"/>
      <c r="G34" s="62"/>
      <c r="H34" s="62"/>
      <c r="I34" s="29">
        <f>12.75</f>
        <v>12.75</v>
      </c>
      <c r="J34" s="59">
        <v>11.55</v>
      </c>
      <c r="K34" s="60">
        <f t="shared" si="1"/>
        <v>12.15</v>
      </c>
    </row>
    <row r="35" spans="1:11" ht="12.75">
      <c r="A35" s="31"/>
      <c r="B35" s="31"/>
      <c r="C35" s="26"/>
      <c r="D35" s="40"/>
      <c r="E35" s="22"/>
      <c r="F35" s="62"/>
      <c r="G35" s="62"/>
      <c r="H35" s="63"/>
      <c r="I35" s="22"/>
      <c r="J35" s="59"/>
      <c r="K35" s="60"/>
    </row>
    <row r="36" spans="1:11" ht="12.75">
      <c r="A36" s="31" t="s">
        <v>55</v>
      </c>
      <c r="B36" s="31"/>
      <c r="C36" s="26"/>
      <c r="D36" s="10"/>
      <c r="E36" s="22"/>
      <c r="F36" s="62"/>
      <c r="G36" s="62"/>
      <c r="H36" s="63"/>
      <c r="I36" s="22"/>
      <c r="J36" s="59"/>
      <c r="K36" s="59"/>
    </row>
    <row r="37" spans="1:11" ht="12.75">
      <c r="A37" s="31" t="s">
        <v>60</v>
      </c>
      <c r="B37" s="31"/>
      <c r="C37" s="26">
        <f>10.4</f>
        <v>10.4</v>
      </c>
      <c r="D37" s="10">
        <f>14.86</f>
        <v>14.86</v>
      </c>
      <c r="E37" s="22"/>
      <c r="F37" s="62"/>
      <c r="G37" s="62" t="e">
        <f>#REF!</f>
        <v>#REF!</v>
      </c>
      <c r="H37" s="63" t="e">
        <f>(F37+G37)/2</f>
        <v>#REF!</v>
      </c>
      <c r="I37" s="22"/>
      <c r="J37" s="59"/>
      <c r="K37" s="59"/>
    </row>
    <row r="38" spans="1:11" ht="12.75">
      <c r="A38" s="31" t="s">
        <v>51</v>
      </c>
      <c r="B38" s="31"/>
      <c r="C38" s="26"/>
      <c r="D38" s="10"/>
      <c r="E38" s="22"/>
      <c r="F38" s="62"/>
      <c r="G38" s="62"/>
      <c r="H38" s="63"/>
      <c r="I38" s="22"/>
      <c r="J38" s="59"/>
      <c r="K38" s="59"/>
    </row>
    <row r="39" spans="1:11" ht="12.75">
      <c r="A39" s="31" t="s">
        <v>50</v>
      </c>
      <c r="B39" s="31"/>
      <c r="C39" s="26"/>
      <c r="D39" s="10"/>
      <c r="E39" s="22"/>
      <c r="F39" s="62"/>
      <c r="G39" s="62"/>
      <c r="H39" s="63"/>
      <c r="I39" s="22"/>
      <c r="J39" s="59"/>
      <c r="K39" s="59"/>
    </row>
    <row r="40" spans="1:11" ht="12.75">
      <c r="A40" s="31" t="s">
        <v>49</v>
      </c>
      <c r="B40" s="31"/>
      <c r="C40" s="26"/>
      <c r="D40" s="10">
        <v>1.2</v>
      </c>
      <c r="E40" s="22"/>
      <c r="F40" s="62"/>
      <c r="G40" s="62"/>
      <c r="H40" s="63"/>
      <c r="I40" s="22"/>
      <c r="J40" s="59"/>
      <c r="K40" s="59"/>
    </row>
    <row r="41" spans="1:11" ht="12.75">
      <c r="A41" s="31" t="s">
        <v>56</v>
      </c>
      <c r="B41" s="31"/>
      <c r="C41" s="26"/>
      <c r="D41" s="10"/>
      <c r="E41" s="22"/>
      <c r="F41" s="62"/>
      <c r="G41" s="62"/>
      <c r="H41" s="63"/>
      <c r="I41" s="22"/>
      <c r="J41" s="59"/>
      <c r="K41" s="59"/>
    </row>
    <row r="42" spans="1:11" ht="12.75">
      <c r="A42" s="31" t="s">
        <v>57</v>
      </c>
      <c r="B42" s="31"/>
      <c r="C42" s="26"/>
      <c r="D42" s="10"/>
      <c r="E42" s="22"/>
      <c r="F42" s="62"/>
      <c r="G42" s="62"/>
      <c r="H42" s="63"/>
      <c r="I42" s="22"/>
      <c r="J42" s="59"/>
      <c r="K42" s="59"/>
    </row>
    <row r="43" spans="1:11" ht="12.75">
      <c r="A43" s="31" t="s">
        <v>52</v>
      </c>
      <c r="B43" s="31"/>
      <c r="C43" s="26"/>
      <c r="D43" s="10"/>
      <c r="E43" s="22"/>
      <c r="F43" s="62"/>
      <c r="G43" s="62"/>
      <c r="H43" s="63"/>
      <c r="I43" s="22"/>
      <c r="J43" s="59"/>
      <c r="K43" s="59"/>
    </row>
    <row r="44" spans="1:11" ht="13.5" thickBot="1">
      <c r="A44" s="31" t="s">
        <v>30</v>
      </c>
      <c r="B44" s="31"/>
      <c r="C44" s="26">
        <f>31.11</f>
        <v>31.11</v>
      </c>
      <c r="D44" s="10">
        <f>28.78</f>
        <v>28.78</v>
      </c>
      <c r="E44" s="23">
        <f>(C44+D44)/2</f>
        <v>29.945</v>
      </c>
      <c r="F44" s="62" t="e">
        <f>#REF!</f>
        <v>#REF!</v>
      </c>
      <c r="G44" s="62" t="e">
        <f>#REF!</f>
        <v>#REF!</v>
      </c>
      <c r="H44" s="62" t="e">
        <f>(F44+G44)/2</f>
        <v>#REF!</v>
      </c>
      <c r="I44" s="59">
        <v>2.04</v>
      </c>
      <c r="J44" s="59">
        <f>1.99+0.6</f>
        <v>2.59</v>
      </c>
      <c r="K44" s="60">
        <f>(I44+J44)/2</f>
        <v>2.315</v>
      </c>
    </row>
    <row r="45" spans="1:11" ht="13.5" thickBot="1">
      <c r="A45" s="34" t="s">
        <v>2</v>
      </c>
      <c r="B45" s="34"/>
      <c r="C45" s="27">
        <f aca="true" t="shared" si="2" ref="C45:K45">SUM(C13:C44)</f>
        <v>11385.989999999998</v>
      </c>
      <c r="D45" s="38">
        <f t="shared" si="2"/>
        <v>10435.26</v>
      </c>
      <c r="E45" s="24">
        <f t="shared" si="2"/>
        <v>10897.395</v>
      </c>
      <c r="F45" s="64" t="e">
        <f t="shared" si="2"/>
        <v>#REF!</v>
      </c>
      <c r="G45" s="64" t="e">
        <f t="shared" si="2"/>
        <v>#REF!</v>
      </c>
      <c r="H45" s="64" t="e">
        <f t="shared" si="2"/>
        <v>#REF!</v>
      </c>
      <c r="I45" s="58">
        <f t="shared" si="2"/>
        <v>561.03</v>
      </c>
      <c r="J45" s="58">
        <f t="shared" si="2"/>
        <v>540.68</v>
      </c>
      <c r="K45" s="58">
        <f t="shared" si="2"/>
        <v>550.8550000000001</v>
      </c>
    </row>
  </sheetData>
  <sheetProtection/>
  <mergeCells count="3">
    <mergeCell ref="A2:K2"/>
    <mergeCell ref="A5:K5"/>
    <mergeCell ref="A7:K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2.75"/>
  <cols>
    <col min="1" max="1" width="10.57421875" style="0" customWidth="1"/>
  </cols>
  <sheetData>
    <row r="1" ht="12.75">
      <c r="A1" t="s">
        <v>61</v>
      </c>
    </row>
    <row r="3" spans="1:2" ht="12.75">
      <c r="A3" s="44" t="s">
        <v>62</v>
      </c>
      <c r="B3">
        <v>500</v>
      </c>
    </row>
    <row r="4" spans="1:2" ht="12.75">
      <c r="A4" s="72" t="s">
        <v>63</v>
      </c>
      <c r="B4" s="72">
        <v>1000</v>
      </c>
    </row>
    <row r="5" spans="1:2" ht="12.75">
      <c r="A5" s="71" t="s">
        <v>64</v>
      </c>
      <c r="B5" s="71">
        <v>1500</v>
      </c>
    </row>
    <row r="6" spans="1:2" ht="12.75">
      <c r="A6" s="70" t="s">
        <v>65</v>
      </c>
      <c r="B6" s="70">
        <v>2000</v>
      </c>
    </row>
    <row r="7" spans="1:2" ht="12.75">
      <c r="A7" s="69" t="s">
        <v>66</v>
      </c>
      <c r="B7" s="69">
        <v>2500</v>
      </c>
    </row>
    <row r="8" spans="1:2" ht="12.75">
      <c r="A8" t="s">
        <v>67</v>
      </c>
      <c r="B8">
        <v>3000</v>
      </c>
    </row>
    <row r="9" spans="1:2" ht="12.75">
      <c r="A9" s="68" t="s">
        <v>68</v>
      </c>
      <c r="B9" s="68">
        <v>3500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dean's area</dc:creator>
  <cp:keywords/>
  <dc:description/>
  <cp:lastModifiedBy>Terie Bostic</cp:lastModifiedBy>
  <cp:lastPrinted>2013-10-02T21:03:39Z</cp:lastPrinted>
  <dcterms:created xsi:type="dcterms:W3CDTF">1996-10-08T20:50:51Z</dcterms:created>
  <dcterms:modified xsi:type="dcterms:W3CDTF">2013-10-04T17:18:18Z</dcterms:modified>
  <cp:category/>
  <cp:version/>
  <cp:contentType/>
  <cp:contentStatus/>
</cp:coreProperties>
</file>